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10" tabRatio="802" activeTab="0"/>
  </bookViews>
  <sheets>
    <sheet name="BVC 2017" sheetId="1" r:id="rId1"/>
  </sheets>
  <definedNames/>
  <calcPr fullCalcOnLoad="1"/>
</workbook>
</file>

<file path=xl/sharedStrings.xml><?xml version="1.0" encoding="utf-8"?>
<sst xmlns="http://schemas.openxmlformats.org/spreadsheetml/2006/main" count="145" uniqueCount="142">
  <si>
    <t>SC COMALIM SA ARAD</t>
  </si>
  <si>
    <t>FUNDAMENTARE BVC 2017</t>
  </si>
  <si>
    <t>Denumirea indicatorului</t>
  </si>
  <si>
    <t>Nr.</t>
  </si>
  <si>
    <t xml:space="preserve">TOTAL </t>
  </si>
  <si>
    <t xml:space="preserve">BVC </t>
  </si>
  <si>
    <t>DIFERENTA</t>
  </si>
  <si>
    <t>REALIZAT</t>
  </si>
  <si>
    <t>rd.</t>
  </si>
  <si>
    <t>CPP 2011</t>
  </si>
  <si>
    <t>BVC 2010</t>
  </si>
  <si>
    <t>REALIZ 2010</t>
  </si>
  <si>
    <t xml:space="preserve">REALIZAT </t>
  </si>
  <si>
    <t xml:space="preserve">ESTIMAT </t>
  </si>
  <si>
    <t>AN</t>
  </si>
  <si>
    <t>cont</t>
  </si>
  <si>
    <t>suma</t>
  </si>
  <si>
    <t>A</t>
  </si>
  <si>
    <t>B</t>
  </si>
  <si>
    <t>10 LUNI</t>
  </si>
  <si>
    <t>NOV-DEC 2013</t>
  </si>
  <si>
    <t>vanzare produse reziduale</t>
  </si>
  <si>
    <t>1.  Cifra de afaceri netă (rd. 02 la 04)</t>
  </si>
  <si>
    <t>prestare stivuitor</t>
  </si>
  <si>
    <t>Producţia vândută (ct. 701+702+703+704+705+706+708)</t>
  </si>
  <si>
    <t>valoare contracte chirii</t>
  </si>
  <si>
    <t>Venituri din vânzarea mărfurilor (ct. 707)</t>
  </si>
  <si>
    <t>vanzari marfuri</t>
  </si>
  <si>
    <t>Venituri din subvenţii de exploatare aferente cifrei de afaceri nete (ct. 7411)</t>
  </si>
  <si>
    <t>CIFRA DE AFACERI</t>
  </si>
  <si>
    <t>2.  Variaţia stocurilor (ct. 711)      Sold C</t>
  </si>
  <si>
    <t>productie imobilizata</t>
  </si>
  <si>
    <t xml:space="preserve">                                                    Sold D</t>
  </si>
  <si>
    <t>penalitati+vanzari active</t>
  </si>
  <si>
    <t>3.  Proiducţia imobilizată (ct. 721 + 722)</t>
  </si>
  <si>
    <t>venituri reversari proviz</t>
  </si>
  <si>
    <t>4. Alte venituri din exploatare (ct. 7417 + 758)</t>
  </si>
  <si>
    <t>TOTAL VENITURI DIN EXPLOATARE</t>
  </si>
  <si>
    <t>VENITURI DIN EXPLOATARE - TOTAL (rd. 01+05-06+07+08)</t>
  </si>
  <si>
    <t>venituri din dobanzi+financiare</t>
  </si>
  <si>
    <t>5.  A) Cheltuieli cu materiile prime şi materialele consumabile (ct. 601+602-7412)</t>
  </si>
  <si>
    <t>TOTAL VENITURI</t>
  </si>
  <si>
    <t>Alte cheltuieli materiale (ct. 603+604+606+608)</t>
  </si>
  <si>
    <t xml:space="preserve">  b)  Alte cheltuieli din afară (cu energie şi apă) (ct. 605-7413)</t>
  </si>
  <si>
    <t>chelt cu materialele</t>
  </si>
  <si>
    <t xml:space="preserve">  c) Cheltuieli privind mărfurile (ct. 607)</t>
  </si>
  <si>
    <t>ch cu ob de inventar</t>
  </si>
  <si>
    <t>Reduceri comerciale primite (ct.609)</t>
  </si>
  <si>
    <t>ch mat consumabile</t>
  </si>
  <si>
    <t>6.  Cheltuieli cu personalul (rd. 15+16)</t>
  </si>
  <si>
    <t>ch cu energia si apa</t>
  </si>
  <si>
    <t xml:space="preserve">  a) Salarii (ct. 621+641+642-7414)</t>
  </si>
  <si>
    <t>ch cu marfurile</t>
  </si>
  <si>
    <t xml:space="preserve">  b) Cheltuieli cu asigurările şi protecţia socială (ct. 645-7415)</t>
  </si>
  <si>
    <t>ch cu reparatiile</t>
  </si>
  <si>
    <t>7. a) Amortizări şi provizioane pentru imobilizărilor corporale şi necorporale (rd.18-19)</t>
  </si>
  <si>
    <t>ch cu chiriile</t>
  </si>
  <si>
    <t xml:space="preserve">    a.1) Cheltuieli (ct. 6811+6813)</t>
  </si>
  <si>
    <t>ch cu asigurarile</t>
  </si>
  <si>
    <t xml:space="preserve">    a. 2) Venituri (ct. 7813+7815)</t>
  </si>
  <si>
    <t>ch onorarii avocati</t>
  </si>
  <si>
    <t xml:space="preserve">    b) Ajustarea valorilor activelor circulante (rd. 21-22)</t>
  </si>
  <si>
    <t>ch reclama</t>
  </si>
  <si>
    <t xml:space="preserve">    b. 1) Cheltuieli (654+6814)</t>
  </si>
  <si>
    <t>ch telefon + posta</t>
  </si>
  <si>
    <t xml:space="preserve">    b. 2) Venituri (ct. 754+7814)</t>
  </si>
  <si>
    <t>ch servicii bancare</t>
  </si>
  <si>
    <t>8. Alte cheltuieli de exploatare (rd. 24 la 26)</t>
  </si>
  <si>
    <t>ch reviste+ programe informatice+audit JPA</t>
  </si>
  <si>
    <t>8.1  Cheltuieli privind prestaţiile externe</t>
  </si>
  <si>
    <t>ch cu paza</t>
  </si>
  <si>
    <t xml:space="preserve">       (ct. 611+612+613+614+621+622+623+624+625+627+628-7416)</t>
  </si>
  <si>
    <t>ch administrare</t>
  </si>
  <si>
    <t>8.2  Cheltuieli cu alte impozite, taxe şi vărsăminte asimilate (ct. 635)</t>
  </si>
  <si>
    <t>ch cu alte servicii prestate</t>
  </si>
  <si>
    <t>8.3 Cheltuieli cu despăgubiri, donaţii şi activele cedate (ct. 658)</t>
  </si>
  <si>
    <t>ch taxe locale + alte taxe</t>
  </si>
  <si>
    <t>Ajustări privind provizioanele pentru riscuri şi cheltuieli (rd. 28-29)</t>
  </si>
  <si>
    <t>chelt cu personalul</t>
  </si>
  <si>
    <t xml:space="preserve">      - Cheltuieli (ct. 6812)</t>
  </si>
  <si>
    <t>chelt tichete masa</t>
  </si>
  <si>
    <t xml:space="preserve">      - Venituri (ct. 7812)</t>
  </si>
  <si>
    <t>chelt angajator</t>
  </si>
  <si>
    <t>CHELTUIELI DE EXPLOATARE - TOTAL (rd. 10 la 14+17+20+23+27)</t>
  </si>
  <si>
    <t>ch active cedate</t>
  </si>
  <si>
    <t>REZULTATUL DIN EXPLOATARE - Profit (rd. 09-30)</t>
  </si>
  <si>
    <t>ch combustibili</t>
  </si>
  <si>
    <t xml:space="preserve">                                                         - Pierdere (30 -09)</t>
  </si>
  <si>
    <t>ch protocol</t>
  </si>
  <si>
    <t>9.  Venituri din interese de participare (ct. 7613+7614+7615+7616)</t>
  </si>
  <si>
    <t>alte ch din exploatre</t>
  </si>
  <si>
    <t xml:space="preserve">      - din care, în cadrul grupului</t>
  </si>
  <si>
    <t>chelt cu amortizarea</t>
  </si>
  <si>
    <t>10.  Venituri din alte investiţii financiare şi creanţe care fac parte din activele imobilizate</t>
  </si>
  <si>
    <t>chelt proviz+pierderi din creante</t>
  </si>
  <si>
    <t xml:space="preserve">       (ct. 7611+7612)</t>
  </si>
  <si>
    <t>TOTAL CHELTUIELI EXPLOATARE</t>
  </si>
  <si>
    <t xml:space="preserve">       - din care, în cadrul grupului</t>
  </si>
  <si>
    <t>11.  Venituri din dobânzi (ct. 766)</t>
  </si>
  <si>
    <t>ch. privind dobanzile</t>
  </si>
  <si>
    <t>alte chelt financiare leasing</t>
  </si>
  <si>
    <t>Alte venituri financiare (ct. 762+763+764+765+767+768+7617)</t>
  </si>
  <si>
    <t>VENITURI FINANCIARE - TOTAL (RD. 33+35+37+39)</t>
  </si>
  <si>
    <t>PROFIT DIN EXPLOATARE</t>
  </si>
  <si>
    <t xml:space="preserve">12. Ajustarea valorii imobilizărilor financiare şi a investiţiilor financiare deţinute ca active    </t>
  </si>
  <si>
    <t xml:space="preserve">      circulante (rd. 42-43)</t>
  </si>
  <si>
    <t>PROFIT FINANCIAR</t>
  </si>
  <si>
    <t xml:space="preserve">      - Cheltuieli (ct. 686)</t>
  </si>
  <si>
    <t xml:space="preserve">      - Vanituri (ct. 786)</t>
  </si>
  <si>
    <t>PROFIT BRUT</t>
  </si>
  <si>
    <t>13.  Cheltuieli privind dobânzile (ct. 666-7418)</t>
  </si>
  <si>
    <t>IMPOZIT PE PROFIT</t>
  </si>
  <si>
    <t>Alte cheltuieli financiare (ct. 663+664+665+667+668)</t>
  </si>
  <si>
    <t>CHELTUIELI FINANCIARE - TOTAL (rd. 41+44+46)</t>
  </si>
  <si>
    <t>PROFIT NET</t>
  </si>
  <si>
    <t>REZULTATUL  FINANCIAR  - Profit (rd. 40-47)</t>
  </si>
  <si>
    <t xml:space="preserve">                                               - Pierdere (rd. 47-40)</t>
  </si>
  <si>
    <t>14.  REZULTATUL CURENT      - Profit   (rd. 09+40-30-47)</t>
  </si>
  <si>
    <t xml:space="preserve">                                                     - Pierdere (rd. 30+47-09-40)</t>
  </si>
  <si>
    <t>15.  Venituri extraordinare (ct. 771)</t>
  </si>
  <si>
    <t>16.  Cheltuieli extraordinare (ct. 671)</t>
  </si>
  <si>
    <t>17.  REZULTATUL  EXTRAORDINAR   - Profit (rd. 52-53)</t>
  </si>
  <si>
    <t xml:space="preserve">                                                                - Pierdere (rd. 53-52)</t>
  </si>
  <si>
    <t>VENITURI TOTALE (rd. 09+40+52)</t>
  </si>
  <si>
    <t>CHELTUIELI TOTALE (rd. 30+47+53)</t>
  </si>
  <si>
    <t>18.  REZULTATUL BRUT - Profit (rd. 56-57)</t>
  </si>
  <si>
    <t xml:space="preserve">                                           - Pierdere (57-56)</t>
  </si>
  <si>
    <t>19.  IMPOZITUL PE PROFIT (ct. 691) (rd. 61+62-63)</t>
  </si>
  <si>
    <t xml:space="preserve">      - Cheltuieli cu impozitul pe profit curent (ct. 6911)</t>
  </si>
  <si>
    <t xml:space="preserve">      - Cheltuieli cu impozitul pe profit amănunt (ct. 6912)</t>
  </si>
  <si>
    <t xml:space="preserve">      - Venituri din impozitul pe profit amânat (ct. 791)</t>
  </si>
  <si>
    <t>20.  Alte cheltuieli cu impozitele care nu apar în elementele de mai sus (ct. 698)</t>
  </si>
  <si>
    <t>21.  REZULTATUL NET AL EXERCIŢIULUI FINANCIAR  - Profit (rd. 58-59-60-64)</t>
  </si>
  <si>
    <t xml:space="preserve">                                                   - Pierdere (rd. 59+60+64-58)</t>
  </si>
  <si>
    <t>PRESEDINTE CONSILIU DE ADMINISTRATIE</t>
  </si>
  <si>
    <t>SC ADMINISTRARE IMOBILIARE SA</t>
  </si>
  <si>
    <t>Director General, OCTAVIAN SCOBERCIA</t>
  </si>
  <si>
    <t>Director Economic, COSMINA CIULEAN</t>
  </si>
  <si>
    <t>BUGET DE VENITURI SI CHELTUIELI PE ANUL 2018</t>
  </si>
  <si>
    <t>prin TIC-CHILIMENT VALENTIN</t>
  </si>
  <si>
    <t>Venituri din reevaluarea imobilizarilor corporale (755)</t>
  </si>
  <si>
    <t>Cheltuieli din reevaluarea imobilizarilor corporale (655)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</si>
</sst>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4" fillId="22" borderId="2" applyNumberFormat="0" applyAlignment="0" applyProtection="0"/>
    <xf numFmtId="0" fontId="27" fillId="0" borderId="3" applyNumberFormat="0" applyFill="0" applyAlignment="0" applyProtection="0"/>
    <xf numFmtId="0" fontId="5" fillId="23" borderId="4" applyNumberFormat="0" applyAlignment="0" applyProtection="0"/>
    <xf numFmtId="0" fontId="2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9" fillId="21" borderId="8" applyNumberFormat="0" applyAlignment="0" applyProtection="0"/>
    <xf numFmtId="0" fontId="11" fillId="7" borderId="2" applyNumberFormat="0" applyAlignment="0" applyProtection="0"/>
    <xf numFmtId="0" fontId="30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38" fillId="30" borderId="1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19" xfId="0" applyFont="1" applyBorder="1" applyAlignment="1">
      <alignment/>
    </xf>
    <xf numFmtId="1" fontId="18" fillId="0" borderId="2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" fontId="18" fillId="0" borderId="19" xfId="0" applyNumberFormat="1" applyFont="1" applyBorder="1" applyAlignment="1">
      <alignment/>
    </xf>
    <xf numFmtId="1" fontId="19" fillId="0" borderId="19" xfId="0" applyNumberFormat="1" applyFont="1" applyFill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9" fillId="0" borderId="19" xfId="0" applyNumberFormat="1" applyFont="1" applyBorder="1" applyAlignment="1">
      <alignment/>
    </xf>
    <xf numFmtId="1" fontId="18" fillId="0" borderId="19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9" xfId="0" applyFont="1" applyBorder="1" applyAlignment="1">
      <alignment/>
    </xf>
    <xf numFmtId="1" fontId="19" fillId="0" borderId="19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1" fontId="18" fillId="0" borderId="0" xfId="0" applyNumberFormat="1" applyFont="1" applyFill="1" applyAlignment="1">
      <alignment/>
    </xf>
    <xf numFmtId="0" fontId="20" fillId="0" borderId="19" xfId="0" applyFont="1" applyBorder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9" fontId="18" fillId="0" borderId="0" xfId="64" applyFont="1" applyFill="1" applyBorder="1" applyAlignment="1" applyProtection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3" xfId="60"/>
    <cellStyle name="Notă" xfId="61"/>
    <cellStyle name="Note" xfId="62"/>
    <cellStyle name="Output" xfId="63"/>
    <cellStyle name="Percent" xfId="64"/>
    <cellStyle name="Procent 2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Comma" xfId="76"/>
    <cellStyle name="Comma [0]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90"/>
  <sheetViews>
    <sheetView tabSelected="1" zoomScalePageLayoutView="0" workbookViewId="0" topLeftCell="A1">
      <selection activeCell="K71" sqref="K71"/>
    </sheetView>
  </sheetViews>
  <sheetFormatPr defaultColWidth="9.140625" defaultRowHeight="12.75"/>
  <cols>
    <col min="1" max="1" width="56.57421875" style="1" customWidth="1"/>
    <col min="2" max="5" width="0" style="1" hidden="1" customWidth="1"/>
    <col min="6" max="6" width="0" style="2" hidden="1" customWidth="1"/>
    <col min="7" max="10" width="0" style="1" hidden="1" customWidth="1"/>
    <col min="11" max="11" width="10.7109375" style="1" customWidth="1"/>
    <col min="12" max="12" width="10.28125" style="1" customWidth="1"/>
    <col min="13" max="14" width="9.140625" style="1" customWidth="1"/>
    <col min="15" max="15" width="0" style="1" hidden="1" customWidth="1"/>
    <col min="16" max="16" width="36.8515625" style="1" hidden="1" customWidth="1"/>
    <col min="17" max="17" width="0" style="1" hidden="1" customWidth="1"/>
    <col min="18" max="16384" width="9.140625" style="1" customWidth="1"/>
  </cols>
  <sheetData>
    <row r="1" ht="11.25">
      <c r="A1" s="3" t="s">
        <v>0</v>
      </c>
    </row>
    <row r="2" ht="11.25">
      <c r="A2" s="3"/>
    </row>
    <row r="3" ht="11.25">
      <c r="A3" s="4" t="s">
        <v>138</v>
      </c>
    </row>
    <row r="5" ht="11.25">
      <c r="P5" s="3" t="s">
        <v>1</v>
      </c>
    </row>
    <row r="6" spans="1:12" ht="11.25">
      <c r="A6" s="5" t="s">
        <v>2</v>
      </c>
      <c r="B6" s="6" t="s">
        <v>3</v>
      </c>
      <c r="C6" s="7"/>
      <c r="D6" s="7"/>
      <c r="E6" s="7"/>
      <c r="F6" s="8"/>
      <c r="G6" s="9"/>
      <c r="H6" s="9" t="s">
        <v>4</v>
      </c>
      <c r="I6" s="9" t="s">
        <v>5</v>
      </c>
      <c r="J6" s="9" t="s">
        <v>6</v>
      </c>
      <c r="K6" s="5" t="s">
        <v>7</v>
      </c>
      <c r="L6" s="5" t="s">
        <v>5</v>
      </c>
    </row>
    <row r="7" spans="1:17" ht="11.25">
      <c r="A7" s="10"/>
      <c r="B7" s="11" t="s">
        <v>8</v>
      </c>
      <c r="C7" s="12" t="s">
        <v>9</v>
      </c>
      <c r="D7" s="12" t="s">
        <v>10</v>
      </c>
      <c r="E7" s="12" t="s">
        <v>11</v>
      </c>
      <c r="F7" s="13" t="s">
        <v>12</v>
      </c>
      <c r="G7" s="14" t="s">
        <v>13</v>
      </c>
      <c r="H7" s="14" t="s">
        <v>14</v>
      </c>
      <c r="I7" s="14"/>
      <c r="J7" s="15"/>
      <c r="K7" s="16">
        <v>2017</v>
      </c>
      <c r="L7" s="16">
        <v>2018</v>
      </c>
      <c r="O7" s="17" t="s">
        <v>15</v>
      </c>
      <c r="Q7" s="1" t="s">
        <v>16</v>
      </c>
    </row>
    <row r="8" spans="1:17" ht="11.25">
      <c r="A8" s="7" t="s">
        <v>17</v>
      </c>
      <c r="B8" s="7" t="s">
        <v>18</v>
      </c>
      <c r="C8" s="18"/>
      <c r="D8" s="18"/>
      <c r="E8" s="18"/>
      <c r="F8" s="19" t="s">
        <v>19</v>
      </c>
      <c r="G8" s="18" t="s">
        <v>20</v>
      </c>
      <c r="H8" s="18">
        <v>2013</v>
      </c>
      <c r="I8" s="18">
        <v>2013</v>
      </c>
      <c r="J8" s="18">
        <v>2013</v>
      </c>
      <c r="K8" s="20"/>
      <c r="L8" s="18"/>
      <c r="O8" s="2">
        <v>703</v>
      </c>
      <c r="P8" s="2" t="s">
        <v>21</v>
      </c>
      <c r="Q8" s="2">
        <v>1000</v>
      </c>
    </row>
    <row r="9" spans="1:17" ht="11.25">
      <c r="A9" s="18" t="s">
        <v>22</v>
      </c>
      <c r="B9" s="18">
        <v>1</v>
      </c>
      <c r="C9" s="21">
        <f aca="true" t="shared" si="0" ref="C9:L9">C10+C11+C12</f>
        <v>843597</v>
      </c>
      <c r="D9" s="21">
        <f t="shared" si="0"/>
        <v>789545</v>
      </c>
      <c r="E9" s="21">
        <f t="shared" si="0"/>
        <v>766961</v>
      </c>
      <c r="F9" s="22">
        <f t="shared" si="0"/>
        <v>1346115</v>
      </c>
      <c r="G9" s="22">
        <f t="shared" si="0"/>
        <v>252570</v>
      </c>
      <c r="H9" s="22">
        <f t="shared" si="0"/>
        <v>1598685</v>
      </c>
      <c r="I9" s="22">
        <f t="shared" si="0"/>
        <v>1740000</v>
      </c>
      <c r="J9" s="22">
        <f t="shared" si="0"/>
        <v>-141315</v>
      </c>
      <c r="K9" s="22">
        <f t="shared" si="0"/>
        <v>2108337</v>
      </c>
      <c r="L9" s="22">
        <f t="shared" si="0"/>
        <v>2170000</v>
      </c>
      <c r="O9" s="2">
        <v>704</v>
      </c>
      <c r="P9" s="2" t="s">
        <v>23</v>
      </c>
      <c r="Q9" s="2">
        <v>10000</v>
      </c>
    </row>
    <row r="10" spans="1:17" ht="11.25">
      <c r="A10" s="18" t="s">
        <v>24</v>
      </c>
      <c r="B10" s="18">
        <v>2</v>
      </c>
      <c r="C10" s="18">
        <f>711597</f>
        <v>711597</v>
      </c>
      <c r="D10" s="18">
        <v>719545</v>
      </c>
      <c r="E10" s="18">
        <v>764395</v>
      </c>
      <c r="F10" s="23">
        <v>1343852</v>
      </c>
      <c r="G10" s="24">
        <f>125262+160+125930</f>
        <v>251352</v>
      </c>
      <c r="H10" s="21">
        <f aca="true" t="shared" si="1" ref="H10:H17">F10+G10</f>
        <v>1595204</v>
      </c>
      <c r="I10" s="18">
        <v>1690000</v>
      </c>
      <c r="J10" s="25">
        <f aca="true" t="shared" si="2" ref="J10:J17">H10-I10</f>
        <v>-94796</v>
      </c>
      <c r="K10" s="18">
        <v>2108337</v>
      </c>
      <c r="L10" s="18">
        <v>2170000</v>
      </c>
      <c r="O10" s="2">
        <v>706</v>
      </c>
      <c r="P10" s="2" t="s">
        <v>25</v>
      </c>
      <c r="Q10" s="2">
        <v>1869726</v>
      </c>
    </row>
    <row r="11" spans="1:17" ht="11.25">
      <c r="A11" s="18" t="s">
        <v>26</v>
      </c>
      <c r="B11" s="18">
        <v>3</v>
      </c>
      <c r="C11" s="18">
        <v>132000</v>
      </c>
      <c r="D11" s="18">
        <v>70000</v>
      </c>
      <c r="E11" s="18">
        <v>2566</v>
      </c>
      <c r="F11" s="26">
        <v>2263</v>
      </c>
      <c r="G11" s="24">
        <v>1218</v>
      </c>
      <c r="H11" s="21">
        <f t="shared" si="1"/>
        <v>3481</v>
      </c>
      <c r="I11" s="18">
        <v>50000</v>
      </c>
      <c r="J11" s="25">
        <f t="shared" si="2"/>
        <v>-46519</v>
      </c>
      <c r="K11" s="18"/>
      <c r="L11" s="18">
        <f>Q11</f>
        <v>0</v>
      </c>
      <c r="O11" s="2">
        <v>707</v>
      </c>
      <c r="P11" s="2" t="s">
        <v>27</v>
      </c>
      <c r="Q11" s="2">
        <v>0</v>
      </c>
    </row>
    <row r="12" spans="1:17" ht="11.25">
      <c r="A12" s="18" t="s">
        <v>28</v>
      </c>
      <c r="B12" s="18">
        <v>4</v>
      </c>
      <c r="C12" s="18"/>
      <c r="D12" s="18"/>
      <c r="E12" s="18"/>
      <c r="F12" s="26"/>
      <c r="G12" s="24"/>
      <c r="H12" s="21">
        <f t="shared" si="1"/>
        <v>0</v>
      </c>
      <c r="I12" s="18"/>
      <c r="J12" s="25">
        <f t="shared" si="2"/>
        <v>0</v>
      </c>
      <c r="K12" s="18"/>
      <c r="L12" s="18"/>
      <c r="O12" s="2"/>
      <c r="P12" s="27" t="s">
        <v>29</v>
      </c>
      <c r="Q12" s="27">
        <f>SUM(Q8:Q11)</f>
        <v>1880726</v>
      </c>
    </row>
    <row r="13" spans="1:17" ht="11.25">
      <c r="A13" s="18" t="s">
        <v>30</v>
      </c>
      <c r="B13" s="18">
        <v>5</v>
      </c>
      <c r="C13" s="18"/>
      <c r="D13" s="18">
        <v>106000</v>
      </c>
      <c r="E13" s="18">
        <v>7049</v>
      </c>
      <c r="F13" s="26"/>
      <c r="G13" s="24"/>
      <c r="H13" s="21">
        <f t="shared" si="1"/>
        <v>0</v>
      </c>
      <c r="I13" s="18"/>
      <c r="J13" s="25">
        <f t="shared" si="2"/>
        <v>0</v>
      </c>
      <c r="K13" s="18"/>
      <c r="L13" s="18"/>
      <c r="O13" s="2">
        <v>722</v>
      </c>
      <c r="P13" s="2" t="s">
        <v>31</v>
      </c>
      <c r="Q13" s="2">
        <v>0</v>
      </c>
    </row>
    <row r="14" spans="1:17" ht="11.25">
      <c r="A14" s="18" t="s">
        <v>32</v>
      </c>
      <c r="B14" s="18">
        <v>6</v>
      </c>
      <c r="C14" s="18"/>
      <c r="D14" s="18"/>
      <c r="E14" s="18"/>
      <c r="F14" s="26"/>
      <c r="G14" s="24"/>
      <c r="H14" s="21">
        <f t="shared" si="1"/>
        <v>0</v>
      </c>
      <c r="I14" s="18"/>
      <c r="J14" s="25">
        <f t="shared" si="2"/>
        <v>0</v>
      </c>
      <c r="K14" s="18"/>
      <c r="L14" s="18"/>
      <c r="O14" s="2">
        <v>758</v>
      </c>
      <c r="P14" s="2" t="s">
        <v>33</v>
      </c>
      <c r="Q14" s="2">
        <v>22000</v>
      </c>
    </row>
    <row r="15" spans="1:17" ht="11.25">
      <c r="A15" s="18" t="s">
        <v>34</v>
      </c>
      <c r="B15" s="18">
        <v>7</v>
      </c>
      <c r="C15" s="18">
        <v>300000</v>
      </c>
      <c r="D15" s="18">
        <v>1008403</v>
      </c>
      <c r="E15" s="18">
        <v>7243</v>
      </c>
      <c r="F15" s="26">
        <v>29308</v>
      </c>
      <c r="G15" s="24">
        <v>12514</v>
      </c>
      <c r="H15" s="21">
        <f t="shared" si="1"/>
        <v>41822</v>
      </c>
      <c r="I15" s="18"/>
      <c r="J15" s="25">
        <f t="shared" si="2"/>
        <v>41822</v>
      </c>
      <c r="K15" s="18"/>
      <c r="L15" s="18">
        <f>Q13</f>
        <v>0</v>
      </c>
      <c r="O15" s="2">
        <v>7814</v>
      </c>
      <c r="P15" s="2" t="s">
        <v>35</v>
      </c>
      <c r="Q15" s="2">
        <v>94252</v>
      </c>
    </row>
    <row r="16" spans="1:17" ht="11.25">
      <c r="A16" s="18" t="s">
        <v>140</v>
      </c>
      <c r="B16" s="18"/>
      <c r="C16" s="18"/>
      <c r="D16" s="18"/>
      <c r="E16" s="18"/>
      <c r="F16" s="26"/>
      <c r="G16" s="18"/>
      <c r="H16" s="18"/>
      <c r="I16" s="18"/>
      <c r="J16" s="25"/>
      <c r="K16" s="18">
        <v>1388</v>
      </c>
      <c r="L16" s="18"/>
      <c r="O16" s="2"/>
      <c r="P16" s="2"/>
      <c r="Q16" s="2"/>
    </row>
    <row r="17" spans="1:17" ht="11.25">
      <c r="A17" s="18" t="s">
        <v>36</v>
      </c>
      <c r="B17" s="18">
        <v>8</v>
      </c>
      <c r="C17" s="18">
        <f>1428000+1343200+5000+5000</f>
        <v>2781200</v>
      </c>
      <c r="D17" s="18">
        <v>0</v>
      </c>
      <c r="E17" s="18">
        <v>357240</v>
      </c>
      <c r="F17" s="26">
        <v>49843</v>
      </c>
      <c r="G17" s="24">
        <v>10000</v>
      </c>
      <c r="H17" s="21">
        <f t="shared" si="1"/>
        <v>59843</v>
      </c>
      <c r="I17" s="18">
        <v>80000</v>
      </c>
      <c r="J17" s="25">
        <f t="shared" si="2"/>
        <v>-20157</v>
      </c>
      <c r="K17" s="18">
        <v>22042</v>
      </c>
      <c r="L17" s="18">
        <v>20000</v>
      </c>
      <c r="O17" s="2"/>
      <c r="P17" s="27" t="s">
        <v>37</v>
      </c>
      <c r="Q17" s="27">
        <f>Q8+Q9+Q10+Q14+Q15</f>
        <v>1996978</v>
      </c>
    </row>
    <row r="18" spans="1:17" s="3" customFormat="1" ht="11.25">
      <c r="A18" s="28" t="s">
        <v>38</v>
      </c>
      <c r="B18" s="28">
        <v>9</v>
      </c>
      <c r="C18" s="25">
        <f>C9+C13-C14+C15+C17</f>
        <v>3924797</v>
      </c>
      <c r="D18" s="25">
        <f>D9+D13-D14+D15+D17</f>
        <v>1903948</v>
      </c>
      <c r="E18" s="25">
        <f>E9+E13-E14+E15+E17</f>
        <v>1138493</v>
      </c>
      <c r="F18" s="29">
        <f>F9+F13-F14+F15+F17</f>
        <v>1425266</v>
      </c>
      <c r="G18" s="29">
        <f>G9+G13-G14+G15+G17</f>
        <v>275084</v>
      </c>
      <c r="H18" s="29">
        <f>H9+H13-H14+H15+H17</f>
        <v>1700350</v>
      </c>
      <c r="I18" s="29">
        <f>I9+I13-I14+I15+I17</f>
        <v>1820000</v>
      </c>
      <c r="J18" s="29">
        <f>J9+J13-J14+J15+J17</f>
        <v>-119650</v>
      </c>
      <c r="K18" s="29">
        <f>K9+K13-K14+K15+K17+K16</f>
        <v>2131767</v>
      </c>
      <c r="L18" s="29">
        <f>L9+L13-L14+L15+L17</f>
        <v>2190000</v>
      </c>
      <c r="O18" s="2">
        <v>766</v>
      </c>
      <c r="P18" s="2" t="s">
        <v>39</v>
      </c>
      <c r="Q18" s="2">
        <v>78800</v>
      </c>
    </row>
    <row r="19" spans="1:17" ht="11.25">
      <c r="A19" s="18" t="s">
        <v>40</v>
      </c>
      <c r="B19" s="18">
        <v>10</v>
      </c>
      <c r="C19" s="18">
        <f>7300+200100+6100</f>
        <v>213500</v>
      </c>
      <c r="D19" s="18">
        <v>711000</v>
      </c>
      <c r="E19" s="18">
        <v>25336</v>
      </c>
      <c r="F19" s="26">
        <v>15992</v>
      </c>
      <c r="G19" s="18">
        <v>1000</v>
      </c>
      <c r="H19" s="21">
        <f>F19+G19</f>
        <v>16992</v>
      </c>
      <c r="I19" s="18">
        <v>20000</v>
      </c>
      <c r="J19" s="25">
        <f>H19-I19</f>
        <v>-3008</v>
      </c>
      <c r="K19" s="18">
        <v>14761</v>
      </c>
      <c r="L19" s="18">
        <v>13000</v>
      </c>
      <c r="O19" s="2"/>
      <c r="P19" s="27" t="s">
        <v>41</v>
      </c>
      <c r="Q19" s="27">
        <f>Q8+Q9+Q10+Q14+Q15+Q18</f>
        <v>2075778</v>
      </c>
    </row>
    <row r="20" spans="1:17" ht="11.25">
      <c r="A20" s="18" t="s">
        <v>42</v>
      </c>
      <c r="B20" s="18">
        <v>11</v>
      </c>
      <c r="C20" s="18">
        <v>10000</v>
      </c>
      <c r="D20" s="18">
        <v>6300</v>
      </c>
      <c r="E20" s="18">
        <v>21952</v>
      </c>
      <c r="F20" s="26">
        <v>16770</v>
      </c>
      <c r="G20" s="18">
        <v>2000</v>
      </c>
      <c r="H20" s="21">
        <f>F20+G20</f>
        <v>18770</v>
      </c>
      <c r="I20" s="18">
        <v>10000</v>
      </c>
      <c r="J20" s="25">
        <f>H20-I20</f>
        <v>8770</v>
      </c>
      <c r="K20" s="18">
        <v>19944</v>
      </c>
      <c r="L20" s="18">
        <v>18000</v>
      </c>
      <c r="O20" s="2"/>
      <c r="P20" s="2"/>
      <c r="Q20" s="2"/>
    </row>
    <row r="21" spans="1:17" ht="11.25">
      <c r="A21" s="18" t="s">
        <v>43</v>
      </c>
      <c r="B21" s="18">
        <v>12</v>
      </c>
      <c r="C21" s="18">
        <f>4600+11600+3864</f>
        <v>20064</v>
      </c>
      <c r="D21" s="18">
        <v>27360</v>
      </c>
      <c r="E21" s="18">
        <v>21491</v>
      </c>
      <c r="F21" s="26">
        <v>27413</v>
      </c>
      <c r="G21" s="18">
        <v>7500</v>
      </c>
      <c r="H21" s="21">
        <f>F21+G21</f>
        <v>34913</v>
      </c>
      <c r="I21" s="18">
        <v>50000</v>
      </c>
      <c r="J21" s="25">
        <f>H21-I21</f>
        <v>-15087</v>
      </c>
      <c r="K21" s="18">
        <v>0</v>
      </c>
      <c r="L21" s="18">
        <f>Q24</f>
        <v>4000</v>
      </c>
      <c r="O21" s="2">
        <v>602</v>
      </c>
      <c r="P21" s="2" t="s">
        <v>44</v>
      </c>
      <c r="Q21" s="2">
        <v>7100</v>
      </c>
    </row>
    <row r="22" spans="1:17" ht="11.25">
      <c r="A22" s="18" t="s">
        <v>45</v>
      </c>
      <c r="B22" s="18">
        <v>13</v>
      </c>
      <c r="C22" s="18">
        <v>118700</v>
      </c>
      <c r="D22" s="18">
        <v>68453</v>
      </c>
      <c r="E22" s="18">
        <v>5160</v>
      </c>
      <c r="F22" s="26">
        <v>15381</v>
      </c>
      <c r="G22" s="18">
        <v>3484</v>
      </c>
      <c r="H22" s="21">
        <f>F22+G22</f>
        <v>18865</v>
      </c>
      <c r="I22" s="18">
        <v>45000</v>
      </c>
      <c r="J22" s="25">
        <f>H22-I22</f>
        <v>-26135</v>
      </c>
      <c r="K22" s="18"/>
      <c r="L22" s="18">
        <f>Q25</f>
        <v>0</v>
      </c>
      <c r="O22" s="2">
        <v>603</v>
      </c>
      <c r="P22" s="2" t="s">
        <v>46</v>
      </c>
      <c r="Q22" s="2">
        <v>800</v>
      </c>
    </row>
    <row r="23" spans="1:17" ht="11.25">
      <c r="A23" s="18" t="s">
        <v>47</v>
      </c>
      <c r="B23" s="18"/>
      <c r="C23" s="18">
        <v>0</v>
      </c>
      <c r="D23" s="18">
        <v>0</v>
      </c>
      <c r="E23" s="18">
        <v>96</v>
      </c>
      <c r="F23" s="26">
        <v>0</v>
      </c>
      <c r="G23" s="18"/>
      <c r="H23" s="18"/>
      <c r="I23" s="18"/>
      <c r="J23" s="25">
        <f>H23-I23</f>
        <v>0</v>
      </c>
      <c r="K23" s="18"/>
      <c r="L23" s="18"/>
      <c r="O23" s="2">
        <v>604</v>
      </c>
      <c r="P23" s="2" t="s">
        <v>48</v>
      </c>
      <c r="Q23" s="2">
        <v>11200</v>
      </c>
    </row>
    <row r="24" spans="1:17" ht="11.25">
      <c r="A24" s="18" t="s">
        <v>49</v>
      </c>
      <c r="B24" s="18">
        <v>14</v>
      </c>
      <c r="C24" s="21">
        <f aca="true" t="shared" si="3" ref="C24:L24">C25+C26</f>
        <v>535855</v>
      </c>
      <c r="D24" s="21">
        <f t="shared" si="3"/>
        <v>575733</v>
      </c>
      <c r="E24" s="21">
        <f t="shared" si="3"/>
        <v>620873</v>
      </c>
      <c r="F24" s="22">
        <f t="shared" si="3"/>
        <v>489391</v>
      </c>
      <c r="G24" s="22">
        <f t="shared" si="3"/>
        <v>95269</v>
      </c>
      <c r="H24" s="22">
        <f t="shared" si="3"/>
        <v>584660</v>
      </c>
      <c r="I24" s="22">
        <f t="shared" si="3"/>
        <v>592956</v>
      </c>
      <c r="J24" s="22">
        <f t="shared" si="3"/>
        <v>-8296</v>
      </c>
      <c r="K24" s="22">
        <f t="shared" si="3"/>
        <v>468591</v>
      </c>
      <c r="L24" s="22">
        <f t="shared" si="3"/>
        <v>483804</v>
      </c>
      <c r="O24" s="2">
        <v>605</v>
      </c>
      <c r="P24" s="2" t="s">
        <v>50</v>
      </c>
      <c r="Q24" s="2">
        <v>4000</v>
      </c>
    </row>
    <row r="25" spans="1:17" ht="11.25">
      <c r="A25" s="18" t="s">
        <v>51</v>
      </c>
      <c r="B25" s="18">
        <v>15</v>
      </c>
      <c r="C25" s="18">
        <v>424634</v>
      </c>
      <c r="D25" s="18">
        <v>454238</v>
      </c>
      <c r="E25" s="18">
        <v>493234</v>
      </c>
      <c r="F25" s="26">
        <v>384350</v>
      </c>
      <c r="G25" s="18">
        <f>34878+34878+2721+2721</f>
        <v>75198</v>
      </c>
      <c r="H25" s="21">
        <f>F25+G25</f>
        <v>459548</v>
      </c>
      <c r="I25" s="18">
        <v>466284</v>
      </c>
      <c r="J25" s="25">
        <f>H25-I25</f>
        <v>-6736</v>
      </c>
      <c r="K25" s="18">
        <v>384780</v>
      </c>
      <c r="L25" s="18">
        <v>473618</v>
      </c>
      <c r="O25" s="2">
        <v>607</v>
      </c>
      <c r="P25" s="2" t="s">
        <v>52</v>
      </c>
      <c r="Q25" s="2">
        <v>0</v>
      </c>
    </row>
    <row r="26" spans="1:17" ht="11.25">
      <c r="A26" s="18" t="s">
        <v>53</v>
      </c>
      <c r="B26" s="18">
        <v>16</v>
      </c>
      <c r="C26" s="18">
        <v>111221</v>
      </c>
      <c r="D26" s="18">
        <v>121495</v>
      </c>
      <c r="E26" s="18">
        <v>127639</v>
      </c>
      <c r="F26" s="26">
        <v>105041</v>
      </c>
      <c r="G26" s="18">
        <f>7311+7311+69+69+155+155+78+78+1825+1825+290+290+94.5+94.5+213+213</f>
        <v>20071</v>
      </c>
      <c r="H26" s="21">
        <f>F26+G26</f>
        <v>125112</v>
      </c>
      <c r="I26" s="18">
        <v>126672</v>
      </c>
      <c r="J26" s="25">
        <f>H26-I26</f>
        <v>-1560</v>
      </c>
      <c r="K26" s="18">
        <v>83811</v>
      </c>
      <c r="L26" s="18">
        <v>10186</v>
      </c>
      <c r="O26" s="2">
        <v>611</v>
      </c>
      <c r="P26" s="2" t="s">
        <v>54</v>
      </c>
      <c r="Q26" s="2">
        <v>5800</v>
      </c>
    </row>
    <row r="27" spans="1:17" ht="11.25">
      <c r="A27" s="18" t="s">
        <v>55</v>
      </c>
      <c r="B27" s="18">
        <v>17</v>
      </c>
      <c r="C27" s="21">
        <f aca="true" t="shared" si="4" ref="C27:L27">C28-C29</f>
        <v>217640</v>
      </c>
      <c r="D27" s="21">
        <f t="shared" si="4"/>
        <v>180000</v>
      </c>
      <c r="E27" s="21">
        <f t="shared" si="4"/>
        <v>188629</v>
      </c>
      <c r="F27" s="22">
        <f t="shared" si="4"/>
        <v>370479</v>
      </c>
      <c r="G27" s="22">
        <f t="shared" si="4"/>
        <v>75176.24</v>
      </c>
      <c r="H27" s="22">
        <f t="shared" si="4"/>
        <v>445655.24</v>
      </c>
      <c r="I27" s="22">
        <f t="shared" si="4"/>
        <v>445000</v>
      </c>
      <c r="J27" s="22">
        <f t="shared" si="4"/>
        <v>655.2399999999907</v>
      </c>
      <c r="K27" s="22">
        <f t="shared" si="4"/>
        <v>553460</v>
      </c>
      <c r="L27" s="22">
        <f t="shared" si="4"/>
        <v>590000</v>
      </c>
      <c r="O27" s="2">
        <v>612</v>
      </c>
      <c r="P27" s="2" t="s">
        <v>56</v>
      </c>
      <c r="Q27" s="2">
        <v>36000</v>
      </c>
    </row>
    <row r="28" spans="1:17" ht="11.25">
      <c r="A28" s="18" t="s">
        <v>57</v>
      </c>
      <c r="B28" s="18">
        <v>18</v>
      </c>
      <c r="C28" s="18">
        <v>217640</v>
      </c>
      <c r="D28" s="18">
        <v>180000</v>
      </c>
      <c r="E28" s="18">
        <v>188629</v>
      </c>
      <c r="F28" s="26">
        <v>370479</v>
      </c>
      <c r="G28" s="18">
        <f>37611.76+37564.48</f>
        <v>75176.24</v>
      </c>
      <c r="H28" s="21">
        <f>F28+G28</f>
        <v>445655.24</v>
      </c>
      <c r="I28" s="18">
        <v>445000</v>
      </c>
      <c r="J28" s="25">
        <f>H28-I28</f>
        <v>655.2399999999907</v>
      </c>
      <c r="K28" s="21">
        <v>553460</v>
      </c>
      <c r="L28" s="21">
        <v>590000</v>
      </c>
      <c r="O28" s="2">
        <v>613</v>
      </c>
      <c r="P28" s="2" t="s">
        <v>58</v>
      </c>
      <c r="Q28" s="2">
        <v>16200</v>
      </c>
    </row>
    <row r="29" spans="1:17" ht="11.25">
      <c r="A29" s="18" t="s">
        <v>59</v>
      </c>
      <c r="B29" s="18">
        <v>19</v>
      </c>
      <c r="C29" s="18"/>
      <c r="D29" s="18"/>
      <c r="E29" s="18">
        <v>0</v>
      </c>
      <c r="F29" s="26">
        <v>0</v>
      </c>
      <c r="G29" s="18"/>
      <c r="H29" s="18"/>
      <c r="I29" s="18"/>
      <c r="J29" s="25">
        <f>H29-I29</f>
        <v>0</v>
      </c>
      <c r="K29" s="18"/>
      <c r="L29" s="18"/>
      <c r="O29" s="2">
        <v>622</v>
      </c>
      <c r="P29" s="2" t="s">
        <v>60</v>
      </c>
      <c r="Q29" s="2">
        <v>15000</v>
      </c>
    </row>
    <row r="30" spans="1:17" ht="11.25">
      <c r="A30" s="18" t="s">
        <v>61</v>
      </c>
      <c r="B30" s="18">
        <v>20</v>
      </c>
      <c r="C30" s="21">
        <f aca="true" t="shared" si="5" ref="C30:L30">C31-C32</f>
        <v>0</v>
      </c>
      <c r="D30" s="21">
        <f t="shared" si="5"/>
        <v>0</v>
      </c>
      <c r="E30" s="21">
        <f t="shared" si="5"/>
        <v>-43633</v>
      </c>
      <c r="F30" s="22">
        <f t="shared" si="5"/>
        <v>-19294</v>
      </c>
      <c r="G30" s="22">
        <f t="shared" si="5"/>
        <v>-2000</v>
      </c>
      <c r="H30" s="22">
        <f t="shared" si="5"/>
        <v>-21294</v>
      </c>
      <c r="I30" s="22">
        <f t="shared" si="5"/>
        <v>-60000</v>
      </c>
      <c r="J30" s="22">
        <f t="shared" si="5"/>
        <v>38706</v>
      </c>
      <c r="K30" s="22">
        <f t="shared" si="5"/>
        <v>0</v>
      </c>
      <c r="L30" s="22">
        <f t="shared" si="5"/>
        <v>0</v>
      </c>
      <c r="O30" s="2">
        <v>623</v>
      </c>
      <c r="P30" s="2" t="s">
        <v>62</v>
      </c>
      <c r="Q30" s="2">
        <v>1500</v>
      </c>
    </row>
    <row r="31" spans="1:17" ht="11.25">
      <c r="A31" s="18" t="s">
        <v>63</v>
      </c>
      <c r="B31" s="18">
        <v>21</v>
      </c>
      <c r="C31" s="18"/>
      <c r="D31" s="18"/>
      <c r="E31" s="18">
        <v>44289</v>
      </c>
      <c r="F31" s="26">
        <v>535</v>
      </c>
      <c r="G31" s="18"/>
      <c r="H31" s="21">
        <f>F31+G31</f>
        <v>535</v>
      </c>
      <c r="I31" s="18">
        <v>40000</v>
      </c>
      <c r="J31" s="25">
        <f>H31-I31</f>
        <v>-39465</v>
      </c>
      <c r="K31" s="18">
        <v>94252</v>
      </c>
      <c r="L31" s="18">
        <v>208734</v>
      </c>
      <c r="O31" s="2">
        <v>626</v>
      </c>
      <c r="P31" s="2" t="s">
        <v>64</v>
      </c>
      <c r="Q31" s="2">
        <v>6400</v>
      </c>
    </row>
    <row r="32" spans="1:17" ht="11.25">
      <c r="A32" s="18" t="s">
        <v>65</v>
      </c>
      <c r="B32" s="18">
        <v>22</v>
      </c>
      <c r="C32" s="18"/>
      <c r="D32" s="18"/>
      <c r="E32" s="18">
        <v>87922</v>
      </c>
      <c r="F32" s="26">
        <v>19829</v>
      </c>
      <c r="G32" s="24">
        <v>2000</v>
      </c>
      <c r="H32" s="21">
        <f>F32+G32</f>
        <v>21829</v>
      </c>
      <c r="I32" s="18">
        <v>100000</v>
      </c>
      <c r="J32" s="25">
        <f>H32-I32</f>
        <v>-78171</v>
      </c>
      <c r="K32" s="18">
        <v>94252</v>
      </c>
      <c r="L32" s="18">
        <v>208734</v>
      </c>
      <c r="O32" s="2">
        <v>627</v>
      </c>
      <c r="P32" s="2" t="s">
        <v>66</v>
      </c>
      <c r="Q32" s="2">
        <v>2700</v>
      </c>
    </row>
    <row r="33" spans="1:17" ht="11.25">
      <c r="A33" s="18" t="s">
        <v>67</v>
      </c>
      <c r="B33" s="18">
        <v>23</v>
      </c>
      <c r="C33" s="21">
        <f aca="true" t="shared" si="6" ref="C33:L33">C34+C36+C38</f>
        <v>2775384</v>
      </c>
      <c r="D33" s="21">
        <f t="shared" si="6"/>
        <v>332060</v>
      </c>
      <c r="E33" s="21">
        <f t="shared" si="6"/>
        <v>548717</v>
      </c>
      <c r="F33" s="22">
        <f t="shared" si="6"/>
        <v>516003</v>
      </c>
      <c r="G33" s="22">
        <f t="shared" si="6"/>
        <v>93864</v>
      </c>
      <c r="H33" s="22">
        <f t="shared" si="6"/>
        <v>609867</v>
      </c>
      <c r="I33" s="22">
        <f t="shared" si="6"/>
        <v>501600</v>
      </c>
      <c r="J33" s="22">
        <f t="shared" si="6"/>
        <v>108267</v>
      </c>
      <c r="K33" s="22">
        <f t="shared" si="6"/>
        <v>615801</v>
      </c>
      <c r="L33" s="22">
        <f t="shared" si="6"/>
        <v>769900</v>
      </c>
      <c r="O33" s="2">
        <v>6285</v>
      </c>
      <c r="P33" s="2" t="s">
        <v>68</v>
      </c>
      <c r="Q33" s="2">
        <v>14000</v>
      </c>
    </row>
    <row r="34" spans="1:17" ht="11.25">
      <c r="A34" s="30" t="s">
        <v>69</v>
      </c>
      <c r="B34" s="30">
        <v>24</v>
      </c>
      <c r="C34" s="18">
        <f>10500+6463+12270+1000+1000+12100+4000+8000+13000+1300+1000+1200+2700+113600+55000</f>
        <v>243133</v>
      </c>
      <c r="D34" s="18">
        <v>197910</v>
      </c>
      <c r="E34" s="18">
        <v>372915</v>
      </c>
      <c r="F34" s="26">
        <v>302401</v>
      </c>
      <c r="G34" s="18">
        <f>25607+25607</f>
        <v>51214</v>
      </c>
      <c r="H34" s="21">
        <f>F34+G34</f>
        <v>353615</v>
      </c>
      <c r="I34" s="18">
        <v>221600</v>
      </c>
      <c r="J34" s="25">
        <f aca="true" t="shared" si="7" ref="J34:J41">H34-I34</f>
        <v>132015</v>
      </c>
      <c r="K34" s="18">
        <v>366308</v>
      </c>
      <c r="L34" s="18">
        <v>427900</v>
      </c>
      <c r="O34" s="2">
        <v>6286</v>
      </c>
      <c r="P34" s="2" t="s">
        <v>70</v>
      </c>
      <c r="Q34" s="2">
        <v>26000</v>
      </c>
    </row>
    <row r="35" spans="1:17" ht="11.25">
      <c r="A35" s="15" t="s">
        <v>71</v>
      </c>
      <c r="B35" s="15"/>
      <c r="C35" s="18"/>
      <c r="D35" s="18"/>
      <c r="E35" s="18"/>
      <c r="F35" s="26"/>
      <c r="G35" s="18"/>
      <c r="H35" s="18"/>
      <c r="I35" s="18"/>
      <c r="J35" s="25">
        <f t="shared" si="7"/>
        <v>0</v>
      </c>
      <c r="K35" s="18"/>
      <c r="L35" s="18"/>
      <c r="O35" s="2">
        <v>6287</v>
      </c>
      <c r="P35" s="2" t="s">
        <v>72</v>
      </c>
      <c r="Q35" s="2">
        <v>132000</v>
      </c>
    </row>
    <row r="36" spans="1:17" ht="11.25">
      <c r="A36" s="18" t="s">
        <v>73</v>
      </c>
      <c r="B36" s="18">
        <v>25</v>
      </c>
      <c r="C36" s="18">
        <f>2000+450+128501</f>
        <v>130951</v>
      </c>
      <c r="D36" s="18">
        <v>108150</v>
      </c>
      <c r="E36" s="18">
        <v>110048</v>
      </c>
      <c r="F36" s="26">
        <v>170085</v>
      </c>
      <c r="G36" s="18">
        <f>17602+17602</f>
        <v>35204</v>
      </c>
      <c r="H36" s="21">
        <f>F36+G36</f>
        <v>205289</v>
      </c>
      <c r="I36" s="18">
        <v>210000</v>
      </c>
      <c r="J36" s="25">
        <f t="shared" si="7"/>
        <v>-4711</v>
      </c>
      <c r="K36" s="18">
        <v>230040</v>
      </c>
      <c r="L36" s="18">
        <v>330000</v>
      </c>
      <c r="O36" s="2">
        <v>6289</v>
      </c>
      <c r="P36" s="2" t="s">
        <v>74</v>
      </c>
      <c r="Q36" s="2">
        <v>66499</v>
      </c>
    </row>
    <row r="37" spans="1:17" ht="11.25">
      <c r="A37" s="18" t="s">
        <v>141</v>
      </c>
      <c r="B37" s="18"/>
      <c r="C37" s="18"/>
      <c r="D37" s="18"/>
      <c r="E37" s="18"/>
      <c r="F37" s="26"/>
      <c r="G37" s="18"/>
      <c r="H37" s="18"/>
      <c r="I37" s="18"/>
      <c r="J37" s="25"/>
      <c r="K37" s="18">
        <v>30704</v>
      </c>
      <c r="L37" s="18"/>
      <c r="O37" s="2"/>
      <c r="P37" s="2"/>
      <c r="Q37" s="2"/>
    </row>
    <row r="38" spans="1:17" ht="11.25">
      <c r="A38" s="18" t="s">
        <v>75</v>
      </c>
      <c r="B38" s="18">
        <v>26</v>
      </c>
      <c r="C38" s="18">
        <f>1000+2400300</f>
        <v>2401300</v>
      </c>
      <c r="D38" s="18">
        <v>26000</v>
      </c>
      <c r="E38" s="18">
        <v>65754</v>
      </c>
      <c r="F38" s="26">
        <v>43517</v>
      </c>
      <c r="G38" s="18">
        <f>3723+3723</f>
        <v>7446</v>
      </c>
      <c r="H38" s="21">
        <f>F38+G38</f>
        <v>50963</v>
      </c>
      <c r="I38" s="18">
        <v>70000</v>
      </c>
      <c r="J38" s="25">
        <f t="shared" si="7"/>
        <v>-19037</v>
      </c>
      <c r="K38" s="21">
        <v>19453</v>
      </c>
      <c r="L38" s="21">
        <v>12000</v>
      </c>
      <c r="O38" s="2">
        <v>635</v>
      </c>
      <c r="P38" s="2" t="s">
        <v>76</v>
      </c>
      <c r="Q38" s="2">
        <v>235592</v>
      </c>
    </row>
    <row r="39" spans="1:17" ht="11.25">
      <c r="A39" s="18" t="s">
        <v>77</v>
      </c>
      <c r="B39" s="18">
        <v>27</v>
      </c>
      <c r="C39" s="21">
        <f>C40-C41</f>
        <v>0</v>
      </c>
      <c r="D39" s="18"/>
      <c r="E39" s="18">
        <f>E40-E41</f>
        <v>0</v>
      </c>
      <c r="F39" s="26">
        <f>F40-F41</f>
        <v>0</v>
      </c>
      <c r="G39" s="18"/>
      <c r="H39" s="18"/>
      <c r="I39" s="18"/>
      <c r="J39" s="25">
        <f t="shared" si="7"/>
        <v>0</v>
      </c>
      <c r="K39" s="18">
        <v>6461</v>
      </c>
      <c r="L39" s="18"/>
      <c r="O39" s="2">
        <v>641</v>
      </c>
      <c r="P39" s="2" t="s">
        <v>78</v>
      </c>
      <c r="Q39" s="2">
        <v>319361</v>
      </c>
    </row>
    <row r="40" spans="1:17" ht="11.25">
      <c r="A40" s="18" t="s">
        <v>79</v>
      </c>
      <c r="B40" s="18">
        <v>28</v>
      </c>
      <c r="C40" s="18"/>
      <c r="D40" s="18"/>
      <c r="E40" s="18">
        <v>0</v>
      </c>
      <c r="F40" s="26">
        <v>0</v>
      </c>
      <c r="G40" s="18"/>
      <c r="H40" s="18"/>
      <c r="I40" s="18"/>
      <c r="J40" s="25">
        <f t="shared" si="7"/>
        <v>0</v>
      </c>
      <c r="K40" s="18">
        <v>6461</v>
      </c>
      <c r="L40" s="18"/>
      <c r="O40" s="2">
        <v>642</v>
      </c>
      <c r="P40" s="2" t="s">
        <v>80</v>
      </c>
      <c r="Q40" s="2">
        <v>21480</v>
      </c>
    </row>
    <row r="41" spans="1:17" ht="11.25">
      <c r="A41" s="18" t="s">
        <v>81</v>
      </c>
      <c r="B41" s="18">
        <v>29</v>
      </c>
      <c r="C41" s="18"/>
      <c r="D41" s="18"/>
      <c r="E41" s="18"/>
      <c r="F41" s="26">
        <v>0</v>
      </c>
      <c r="G41" s="18"/>
      <c r="H41" s="18"/>
      <c r="I41" s="18"/>
      <c r="J41" s="25">
        <f t="shared" si="7"/>
        <v>0</v>
      </c>
      <c r="K41" s="18"/>
      <c r="L41" s="18"/>
      <c r="O41" s="2">
        <v>645</v>
      </c>
      <c r="P41" s="2" t="s">
        <v>82</v>
      </c>
      <c r="Q41" s="2">
        <v>76647</v>
      </c>
    </row>
    <row r="42" spans="1:17" s="3" customFormat="1" ht="11.25">
      <c r="A42" s="28" t="s">
        <v>83</v>
      </c>
      <c r="B42" s="28">
        <v>30</v>
      </c>
      <c r="C42" s="25">
        <f aca="true" t="shared" si="8" ref="C42:L42">C19+C20+C21+C22+C24+C27+C30+C33+C39</f>
        <v>3891143</v>
      </c>
      <c r="D42" s="25">
        <f t="shared" si="8"/>
        <v>1900906</v>
      </c>
      <c r="E42" s="25">
        <f t="shared" si="8"/>
        <v>1388525</v>
      </c>
      <c r="F42" s="29">
        <f t="shared" si="8"/>
        <v>1432135</v>
      </c>
      <c r="G42" s="29">
        <f t="shared" si="8"/>
        <v>276293.24</v>
      </c>
      <c r="H42" s="29">
        <f t="shared" si="8"/>
        <v>1708428.24</v>
      </c>
      <c r="I42" s="29">
        <f t="shared" si="8"/>
        <v>1604556</v>
      </c>
      <c r="J42" s="29">
        <f t="shared" si="8"/>
        <v>103872.23999999999</v>
      </c>
      <c r="K42" s="29">
        <f>K19+K20+K21+K22+K24+K27+K30+K33+K39+K37</f>
        <v>1709722</v>
      </c>
      <c r="L42" s="29">
        <f t="shared" si="8"/>
        <v>1878704</v>
      </c>
      <c r="O42" s="2">
        <v>6583</v>
      </c>
      <c r="P42" s="2" t="s">
        <v>84</v>
      </c>
      <c r="Q42" s="31">
        <v>0</v>
      </c>
    </row>
    <row r="43" spans="1:17" s="3" customFormat="1" ht="11.25">
      <c r="A43" s="28" t="s">
        <v>85</v>
      </c>
      <c r="B43" s="28">
        <v>31</v>
      </c>
      <c r="C43" s="25">
        <f aca="true" t="shared" si="9" ref="C43:L43">C18-C42</f>
        <v>33654</v>
      </c>
      <c r="D43" s="25">
        <f t="shared" si="9"/>
        <v>3042</v>
      </c>
      <c r="E43" s="25">
        <f t="shared" si="9"/>
        <v>-250032</v>
      </c>
      <c r="F43" s="29">
        <f t="shared" si="9"/>
        <v>-6869</v>
      </c>
      <c r="G43" s="29">
        <f t="shared" si="9"/>
        <v>-1209.2399999999907</v>
      </c>
      <c r="H43" s="29">
        <f t="shared" si="9"/>
        <v>-8078.239999999991</v>
      </c>
      <c r="I43" s="29">
        <f t="shared" si="9"/>
        <v>215444</v>
      </c>
      <c r="J43" s="29">
        <f t="shared" si="9"/>
        <v>-223522.24</v>
      </c>
      <c r="K43" s="29">
        <f t="shared" si="9"/>
        <v>422045</v>
      </c>
      <c r="L43" s="29">
        <f t="shared" si="9"/>
        <v>311296</v>
      </c>
      <c r="O43" s="2">
        <v>6584</v>
      </c>
      <c r="P43" s="2" t="s">
        <v>86</v>
      </c>
      <c r="Q43" s="2">
        <v>8000</v>
      </c>
    </row>
    <row r="44" spans="1:17" ht="11.25">
      <c r="A44" s="32" t="s">
        <v>87</v>
      </c>
      <c r="B44" s="32">
        <v>32</v>
      </c>
      <c r="C44" s="21"/>
      <c r="D44" s="18"/>
      <c r="E44" s="25">
        <f>E42-E18</f>
        <v>250032</v>
      </c>
      <c r="F44" s="22"/>
      <c r="G44" s="18"/>
      <c r="H44" s="18"/>
      <c r="I44" s="18"/>
      <c r="J44" s="25">
        <f aca="true" t="shared" si="10" ref="J44:J52">H44-I44</f>
        <v>0</v>
      </c>
      <c r="K44" s="18"/>
      <c r="L44" s="18"/>
      <c r="O44" s="2">
        <v>6585</v>
      </c>
      <c r="P44" s="2" t="s">
        <v>88</v>
      </c>
      <c r="Q44" s="2">
        <v>1000</v>
      </c>
    </row>
    <row r="45" spans="1:17" ht="11.25">
      <c r="A45" s="18" t="s">
        <v>89</v>
      </c>
      <c r="B45" s="18">
        <v>33</v>
      </c>
      <c r="C45" s="18"/>
      <c r="D45" s="18"/>
      <c r="E45" s="18"/>
      <c r="F45" s="26"/>
      <c r="G45" s="18"/>
      <c r="H45" s="18"/>
      <c r="I45" s="18"/>
      <c r="J45" s="25">
        <f t="shared" si="10"/>
        <v>0</v>
      </c>
      <c r="K45" s="18"/>
      <c r="L45" s="18"/>
      <c r="O45" s="2">
        <v>6588</v>
      </c>
      <c r="P45" s="2" t="s">
        <v>90</v>
      </c>
      <c r="Q45" s="31">
        <v>1000</v>
      </c>
    </row>
    <row r="46" spans="1:17" ht="11.25">
      <c r="A46" s="18" t="s">
        <v>91</v>
      </c>
      <c r="B46" s="18">
        <v>34</v>
      </c>
      <c r="C46" s="18"/>
      <c r="D46" s="18"/>
      <c r="E46" s="18"/>
      <c r="F46" s="26"/>
      <c r="G46" s="18"/>
      <c r="H46" s="18"/>
      <c r="I46" s="18"/>
      <c r="J46" s="25">
        <f t="shared" si="10"/>
        <v>0</v>
      </c>
      <c r="K46" s="18"/>
      <c r="L46" s="18"/>
      <c r="O46" s="2">
        <v>6811</v>
      </c>
      <c r="P46" s="2" t="s">
        <v>92</v>
      </c>
      <c r="Q46" s="31">
        <f>597804+8000</f>
        <v>605804</v>
      </c>
    </row>
    <row r="47" spans="1:17" ht="11.25">
      <c r="A47" s="30" t="s">
        <v>93</v>
      </c>
      <c r="B47" s="30">
        <v>35</v>
      </c>
      <c r="C47" s="18"/>
      <c r="D47" s="18"/>
      <c r="E47" s="18"/>
      <c r="F47" s="26"/>
      <c r="G47" s="18"/>
      <c r="H47" s="18"/>
      <c r="I47" s="18"/>
      <c r="J47" s="25">
        <f t="shared" si="10"/>
        <v>0</v>
      </c>
      <c r="K47" s="18"/>
      <c r="L47" s="18"/>
      <c r="O47" s="2">
        <v>6814</v>
      </c>
      <c r="P47" s="2" t="s">
        <v>94</v>
      </c>
      <c r="Q47" s="2">
        <v>94252</v>
      </c>
    </row>
    <row r="48" spans="1:17" ht="11.25">
      <c r="A48" s="15" t="s">
        <v>95</v>
      </c>
      <c r="B48" s="15"/>
      <c r="C48" s="18"/>
      <c r="D48" s="18"/>
      <c r="E48" s="18"/>
      <c r="F48" s="26"/>
      <c r="G48" s="18"/>
      <c r="H48" s="18"/>
      <c r="I48" s="18"/>
      <c r="J48" s="25">
        <f t="shared" si="10"/>
        <v>0</v>
      </c>
      <c r="K48" s="18"/>
      <c r="L48" s="18"/>
      <c r="P48" s="3" t="s">
        <v>96</v>
      </c>
      <c r="Q48" s="33">
        <f>SUM(Q21:Q47)</f>
        <v>1708335</v>
      </c>
    </row>
    <row r="49" spans="1:12" ht="11.25">
      <c r="A49" s="18" t="s">
        <v>97</v>
      </c>
      <c r="B49" s="18">
        <v>36</v>
      </c>
      <c r="C49" s="18"/>
      <c r="D49" s="18"/>
      <c r="E49" s="18"/>
      <c r="F49" s="26"/>
      <c r="G49" s="18"/>
      <c r="H49" s="18"/>
      <c r="I49" s="18"/>
      <c r="J49" s="25">
        <f t="shared" si="10"/>
        <v>0</v>
      </c>
      <c r="K49" s="18"/>
      <c r="L49" s="18"/>
    </row>
    <row r="50" spans="1:17" ht="11.25">
      <c r="A50" s="18" t="s">
        <v>98</v>
      </c>
      <c r="B50" s="18">
        <v>37</v>
      </c>
      <c r="C50" s="18">
        <v>75983</v>
      </c>
      <c r="D50" s="18">
        <v>140000</v>
      </c>
      <c r="E50" s="18">
        <v>246215</v>
      </c>
      <c r="F50" s="26">
        <v>65971</v>
      </c>
      <c r="G50" s="24">
        <f>6434+6434</f>
        <v>12868</v>
      </c>
      <c r="H50" s="21">
        <f>F50+G50</f>
        <v>78839</v>
      </c>
      <c r="I50" s="18">
        <v>65000</v>
      </c>
      <c r="J50" s="25">
        <f t="shared" si="10"/>
        <v>13839</v>
      </c>
      <c r="K50" s="18">
        <v>63336</v>
      </c>
      <c r="L50" s="18">
        <v>61250</v>
      </c>
      <c r="O50" s="1">
        <v>666</v>
      </c>
      <c r="P50" s="1" t="s">
        <v>99</v>
      </c>
      <c r="Q50" s="34">
        <v>1640</v>
      </c>
    </row>
    <row r="51" spans="1:17" ht="11.25">
      <c r="A51" s="18" t="s">
        <v>97</v>
      </c>
      <c r="B51" s="18">
        <v>38</v>
      </c>
      <c r="C51" s="18"/>
      <c r="D51" s="18"/>
      <c r="E51" s="18"/>
      <c r="F51" s="26"/>
      <c r="G51" s="18"/>
      <c r="H51" s="18"/>
      <c r="I51" s="18"/>
      <c r="J51" s="25">
        <f t="shared" si="10"/>
        <v>0</v>
      </c>
      <c r="K51" s="18"/>
      <c r="L51" s="18"/>
      <c r="O51" s="1">
        <v>668</v>
      </c>
      <c r="P51" s="1" t="s">
        <v>100</v>
      </c>
      <c r="Q51" s="1">
        <v>350</v>
      </c>
    </row>
    <row r="52" spans="1:17" ht="11.25">
      <c r="A52" s="18" t="s">
        <v>101</v>
      </c>
      <c r="B52" s="18">
        <v>39</v>
      </c>
      <c r="C52" s="18"/>
      <c r="D52" s="18"/>
      <c r="E52" s="18">
        <v>125694</v>
      </c>
      <c r="F52" s="26"/>
      <c r="G52" s="18"/>
      <c r="H52" s="18"/>
      <c r="I52" s="18"/>
      <c r="J52" s="25">
        <f t="shared" si="10"/>
        <v>0</v>
      </c>
      <c r="K52" s="18">
        <v>700</v>
      </c>
      <c r="L52" s="18">
        <v>700</v>
      </c>
      <c r="P52" s="3"/>
      <c r="Q52" s="3"/>
    </row>
    <row r="53" spans="1:17" s="3" customFormat="1" ht="11.25">
      <c r="A53" s="28" t="s">
        <v>102</v>
      </c>
      <c r="B53" s="28">
        <v>40</v>
      </c>
      <c r="C53" s="25">
        <f aca="true" t="shared" si="11" ref="C53:L53">C45+C47+C50+C52</f>
        <v>75983</v>
      </c>
      <c r="D53" s="25">
        <f t="shared" si="11"/>
        <v>140000</v>
      </c>
      <c r="E53" s="25">
        <f t="shared" si="11"/>
        <v>371909</v>
      </c>
      <c r="F53" s="29">
        <f t="shared" si="11"/>
        <v>65971</v>
      </c>
      <c r="G53" s="29">
        <f t="shared" si="11"/>
        <v>12868</v>
      </c>
      <c r="H53" s="29">
        <f t="shared" si="11"/>
        <v>78839</v>
      </c>
      <c r="I53" s="29">
        <f t="shared" si="11"/>
        <v>65000</v>
      </c>
      <c r="J53" s="29">
        <f t="shared" si="11"/>
        <v>13839</v>
      </c>
      <c r="K53" s="29">
        <f t="shared" si="11"/>
        <v>64036</v>
      </c>
      <c r="L53" s="29">
        <f t="shared" si="11"/>
        <v>61950</v>
      </c>
      <c r="O53" s="1"/>
      <c r="P53" s="3" t="s">
        <v>103</v>
      </c>
      <c r="Q53" s="33">
        <v>324447</v>
      </c>
    </row>
    <row r="54" spans="1:15" ht="11.25">
      <c r="A54" s="30" t="s">
        <v>104</v>
      </c>
      <c r="B54" s="30">
        <v>41</v>
      </c>
      <c r="C54" s="18"/>
      <c r="D54" s="18"/>
      <c r="E54" s="18"/>
      <c r="F54" s="26"/>
      <c r="G54" s="18"/>
      <c r="H54" s="18"/>
      <c r="I54" s="18"/>
      <c r="J54" s="25">
        <f aca="true" t="shared" si="12" ref="J54:J60">H54-I54</f>
        <v>0</v>
      </c>
      <c r="K54" s="18"/>
      <c r="L54" s="18"/>
      <c r="O54" s="3"/>
    </row>
    <row r="55" spans="1:17" ht="11.25">
      <c r="A55" s="15" t="s">
        <v>105</v>
      </c>
      <c r="B55" s="15"/>
      <c r="C55" s="18"/>
      <c r="D55" s="18"/>
      <c r="E55" s="18"/>
      <c r="F55" s="26"/>
      <c r="G55" s="18"/>
      <c r="H55" s="18"/>
      <c r="I55" s="18"/>
      <c r="J55" s="25">
        <f t="shared" si="12"/>
        <v>0</v>
      </c>
      <c r="K55" s="18"/>
      <c r="L55" s="18"/>
      <c r="P55" s="3" t="s">
        <v>106</v>
      </c>
      <c r="Q55" s="33">
        <v>76810</v>
      </c>
    </row>
    <row r="56" spans="1:12" ht="11.25">
      <c r="A56" s="18" t="s">
        <v>107</v>
      </c>
      <c r="B56" s="18">
        <v>42</v>
      </c>
      <c r="C56" s="18"/>
      <c r="D56" s="18"/>
      <c r="E56" s="18"/>
      <c r="F56" s="26"/>
      <c r="G56" s="18"/>
      <c r="H56" s="18"/>
      <c r="I56" s="18"/>
      <c r="J56" s="25">
        <f t="shared" si="12"/>
        <v>0</v>
      </c>
      <c r="K56" s="18"/>
      <c r="L56" s="18"/>
    </row>
    <row r="57" spans="1:17" ht="11.25">
      <c r="A57" s="18" t="s">
        <v>108</v>
      </c>
      <c r="B57" s="18">
        <v>43</v>
      </c>
      <c r="C57" s="18"/>
      <c r="D57" s="18"/>
      <c r="E57" s="18"/>
      <c r="F57" s="26"/>
      <c r="G57" s="18"/>
      <c r="H57" s="18"/>
      <c r="I57" s="18"/>
      <c r="J57" s="25">
        <f t="shared" si="12"/>
        <v>0</v>
      </c>
      <c r="K57" s="18"/>
      <c r="L57" s="18"/>
      <c r="P57" s="3" t="s">
        <v>109</v>
      </c>
      <c r="Q57" s="33">
        <f>Q53+Q55</f>
        <v>401257</v>
      </c>
    </row>
    <row r="58" spans="1:12" ht="11.25">
      <c r="A58" s="18" t="s">
        <v>110</v>
      </c>
      <c r="B58" s="18">
        <v>44</v>
      </c>
      <c r="C58" s="18"/>
      <c r="D58" s="18">
        <v>4000</v>
      </c>
      <c r="E58" s="18">
        <v>2872</v>
      </c>
      <c r="F58" s="26"/>
      <c r="G58" s="18"/>
      <c r="H58" s="18"/>
      <c r="I58" s="18"/>
      <c r="J58" s="25">
        <f t="shared" si="12"/>
        <v>0</v>
      </c>
      <c r="K58" s="18">
        <v>1702</v>
      </c>
      <c r="L58" s="21">
        <v>1136</v>
      </c>
    </row>
    <row r="59" spans="1:17" ht="11.25">
      <c r="A59" s="18" t="s">
        <v>91</v>
      </c>
      <c r="B59" s="18">
        <v>45</v>
      </c>
      <c r="C59" s="18"/>
      <c r="D59" s="18"/>
      <c r="E59" s="18"/>
      <c r="F59" s="26"/>
      <c r="G59" s="18"/>
      <c r="H59" s="18"/>
      <c r="I59" s="18"/>
      <c r="J59" s="25">
        <f t="shared" si="12"/>
        <v>0</v>
      </c>
      <c r="K59" s="18"/>
      <c r="L59" s="18"/>
      <c r="P59" s="3" t="s">
        <v>111</v>
      </c>
      <c r="Q59" s="33">
        <v>106057</v>
      </c>
    </row>
    <row r="60" spans="1:12" ht="11.25">
      <c r="A60" s="18" t="s">
        <v>112</v>
      </c>
      <c r="B60" s="18">
        <v>46</v>
      </c>
      <c r="C60" s="18">
        <f>5000</f>
        <v>5000</v>
      </c>
      <c r="D60" s="18">
        <v>50000</v>
      </c>
      <c r="E60" s="18">
        <v>93105</v>
      </c>
      <c r="F60" s="26">
        <v>0</v>
      </c>
      <c r="G60" s="18"/>
      <c r="H60" s="18"/>
      <c r="I60" s="18"/>
      <c r="J60" s="25">
        <f t="shared" si="12"/>
        <v>0</v>
      </c>
      <c r="K60" s="18">
        <v>1895</v>
      </c>
      <c r="L60" s="18">
        <v>1900</v>
      </c>
    </row>
    <row r="61" spans="1:17" s="3" customFormat="1" ht="11.25">
      <c r="A61" s="28" t="s">
        <v>113</v>
      </c>
      <c r="B61" s="28">
        <v>47</v>
      </c>
      <c r="C61" s="25">
        <f aca="true" t="shared" si="13" ref="C61:L61">C54+C58+C60</f>
        <v>5000</v>
      </c>
      <c r="D61" s="25">
        <f t="shared" si="13"/>
        <v>54000</v>
      </c>
      <c r="E61" s="25">
        <f t="shared" si="13"/>
        <v>95977</v>
      </c>
      <c r="F61" s="29">
        <f t="shared" si="13"/>
        <v>0</v>
      </c>
      <c r="G61" s="29">
        <f t="shared" si="13"/>
        <v>0</v>
      </c>
      <c r="H61" s="29">
        <f t="shared" si="13"/>
        <v>0</v>
      </c>
      <c r="I61" s="29">
        <f t="shared" si="13"/>
        <v>0</v>
      </c>
      <c r="J61" s="29">
        <f t="shared" si="13"/>
        <v>0</v>
      </c>
      <c r="K61" s="29">
        <f t="shared" si="13"/>
        <v>3597</v>
      </c>
      <c r="L61" s="29">
        <f t="shared" si="13"/>
        <v>3036</v>
      </c>
      <c r="P61" s="3" t="s">
        <v>114</v>
      </c>
      <c r="Q61" s="33">
        <f>Q57-Q59</f>
        <v>295200</v>
      </c>
    </row>
    <row r="62" spans="1:12" s="3" customFormat="1" ht="11.25">
      <c r="A62" s="28" t="s">
        <v>115</v>
      </c>
      <c r="B62" s="28">
        <v>48</v>
      </c>
      <c r="C62" s="25">
        <f aca="true" t="shared" si="14" ref="C62:L62">C53-C61</f>
        <v>70983</v>
      </c>
      <c r="D62" s="25">
        <f t="shared" si="14"/>
        <v>86000</v>
      </c>
      <c r="E62" s="25">
        <f t="shared" si="14"/>
        <v>275932</v>
      </c>
      <c r="F62" s="29">
        <f t="shared" si="14"/>
        <v>65971</v>
      </c>
      <c r="G62" s="29">
        <f t="shared" si="14"/>
        <v>12868</v>
      </c>
      <c r="H62" s="29">
        <f t="shared" si="14"/>
        <v>78839</v>
      </c>
      <c r="I62" s="29">
        <f t="shared" si="14"/>
        <v>65000</v>
      </c>
      <c r="J62" s="29">
        <f t="shared" si="14"/>
        <v>13839</v>
      </c>
      <c r="K62" s="29">
        <f t="shared" si="14"/>
        <v>60439</v>
      </c>
      <c r="L62" s="29">
        <f t="shared" si="14"/>
        <v>58914</v>
      </c>
    </row>
    <row r="63" spans="1:12" ht="11.25">
      <c r="A63" s="32" t="s">
        <v>116</v>
      </c>
      <c r="B63" s="32">
        <v>49</v>
      </c>
      <c r="C63" s="18"/>
      <c r="D63" s="18"/>
      <c r="E63" s="18"/>
      <c r="F63" s="26"/>
      <c r="G63" s="18"/>
      <c r="H63" s="18"/>
      <c r="I63" s="18"/>
      <c r="J63" s="25">
        <f>H63-I63</f>
        <v>0</v>
      </c>
      <c r="K63" s="18"/>
      <c r="L63" s="18"/>
    </row>
    <row r="64" spans="1:12" ht="11.25">
      <c r="A64" s="28" t="s">
        <v>117</v>
      </c>
      <c r="B64" s="28">
        <v>50</v>
      </c>
      <c r="C64" s="21">
        <f aca="true" t="shared" si="15" ref="C64:L64">C18+C53-C42-C61</f>
        <v>104637</v>
      </c>
      <c r="D64" s="21">
        <f t="shared" si="15"/>
        <v>89042</v>
      </c>
      <c r="E64" s="21">
        <f t="shared" si="15"/>
        <v>25900</v>
      </c>
      <c r="F64" s="22">
        <f t="shared" si="15"/>
        <v>59102</v>
      </c>
      <c r="G64" s="22">
        <f t="shared" si="15"/>
        <v>11658.76000000001</v>
      </c>
      <c r="H64" s="22">
        <f t="shared" si="15"/>
        <v>70760.76000000001</v>
      </c>
      <c r="I64" s="22">
        <f t="shared" si="15"/>
        <v>280444</v>
      </c>
      <c r="J64" s="22">
        <f t="shared" si="15"/>
        <v>-209683.24</v>
      </c>
      <c r="K64" s="22">
        <f t="shared" si="15"/>
        <v>482484</v>
      </c>
      <c r="L64" s="22">
        <f t="shared" si="15"/>
        <v>370210</v>
      </c>
    </row>
    <row r="65" spans="1:12" ht="11.25">
      <c r="A65" s="18" t="s">
        <v>118</v>
      </c>
      <c r="B65" s="18">
        <v>51</v>
      </c>
      <c r="C65" s="18"/>
      <c r="D65" s="18"/>
      <c r="E65" s="18"/>
      <c r="F65" s="22"/>
      <c r="G65" s="18"/>
      <c r="H65" s="18"/>
      <c r="I65" s="18"/>
      <c r="J65" s="25">
        <f>H65-I65</f>
        <v>0</v>
      </c>
      <c r="K65" s="18"/>
      <c r="L65" s="18"/>
    </row>
    <row r="66" spans="1:12" ht="11.25">
      <c r="A66" s="18" t="s">
        <v>119</v>
      </c>
      <c r="B66" s="18">
        <v>52</v>
      </c>
      <c r="C66" s="18"/>
      <c r="D66" s="18"/>
      <c r="E66" s="18"/>
      <c r="F66" s="26"/>
      <c r="G66" s="18"/>
      <c r="H66" s="18"/>
      <c r="I66" s="18"/>
      <c r="J66" s="25">
        <f>H66-I66</f>
        <v>0</v>
      </c>
      <c r="K66" s="18"/>
      <c r="L66" s="18"/>
    </row>
    <row r="67" spans="1:12" ht="11.25">
      <c r="A67" s="18" t="s">
        <v>120</v>
      </c>
      <c r="B67" s="18">
        <v>53</v>
      </c>
      <c r="C67" s="18"/>
      <c r="D67" s="18"/>
      <c r="E67" s="18"/>
      <c r="F67" s="26"/>
      <c r="G67" s="18"/>
      <c r="H67" s="18"/>
      <c r="I67" s="18"/>
      <c r="J67" s="25">
        <f>H67-I67</f>
        <v>0</v>
      </c>
      <c r="K67" s="18"/>
      <c r="L67" s="18"/>
    </row>
    <row r="68" spans="1:12" ht="11.25">
      <c r="A68" s="18" t="s">
        <v>121</v>
      </c>
      <c r="B68" s="18">
        <v>54</v>
      </c>
      <c r="C68" s="18"/>
      <c r="D68" s="18"/>
      <c r="E68" s="18"/>
      <c r="F68" s="26"/>
      <c r="G68" s="18"/>
      <c r="H68" s="18"/>
      <c r="I68" s="18"/>
      <c r="J68" s="25">
        <f>H68-I68</f>
        <v>0</v>
      </c>
      <c r="K68" s="18"/>
      <c r="L68" s="18"/>
    </row>
    <row r="69" spans="1:12" ht="11.25">
      <c r="A69" s="18" t="s">
        <v>122</v>
      </c>
      <c r="B69" s="18">
        <v>55</v>
      </c>
      <c r="C69" s="18"/>
      <c r="D69" s="18"/>
      <c r="E69" s="18"/>
      <c r="F69" s="26"/>
      <c r="G69" s="18"/>
      <c r="H69" s="18"/>
      <c r="I69" s="18"/>
      <c r="J69" s="25">
        <f>H69-I69</f>
        <v>0</v>
      </c>
      <c r="K69" s="18"/>
      <c r="L69" s="18"/>
    </row>
    <row r="70" spans="1:12" s="3" customFormat="1" ht="11.25">
      <c r="A70" s="28" t="s">
        <v>123</v>
      </c>
      <c r="B70" s="28">
        <v>56</v>
      </c>
      <c r="C70" s="25">
        <f>C18+C53+C66</f>
        <v>4000780</v>
      </c>
      <c r="D70" s="25">
        <f>D18+D53+D66</f>
        <v>2043948</v>
      </c>
      <c r="E70" s="25">
        <f>E18+E53+E66</f>
        <v>1510402</v>
      </c>
      <c r="F70" s="29">
        <f>F18+F53+F66</f>
        <v>1491237</v>
      </c>
      <c r="G70" s="29">
        <f>G18+G53+G66</f>
        <v>287952</v>
      </c>
      <c r="H70" s="29">
        <f>H18+H53+H66</f>
        <v>1779189</v>
      </c>
      <c r="I70" s="29">
        <f>I18+I53+I66</f>
        <v>1885000</v>
      </c>
      <c r="J70" s="29">
        <f>J18+J53+J66</f>
        <v>-105811</v>
      </c>
      <c r="K70" s="29">
        <f>K18+K53+K66</f>
        <v>2195803</v>
      </c>
      <c r="L70" s="29">
        <f>L18+L53+L66</f>
        <v>2251950</v>
      </c>
    </row>
    <row r="71" spans="1:12" s="3" customFormat="1" ht="11.25">
      <c r="A71" s="28" t="s">
        <v>124</v>
      </c>
      <c r="B71" s="28">
        <v>57</v>
      </c>
      <c r="C71" s="25">
        <f>C42+C61+C67</f>
        <v>3896143</v>
      </c>
      <c r="D71" s="25">
        <f>D42+D61+D67</f>
        <v>1954906</v>
      </c>
      <c r="E71" s="25">
        <f>E42+E61+E67</f>
        <v>1484502</v>
      </c>
      <c r="F71" s="29">
        <f>F42+F61+F67</f>
        <v>1432135</v>
      </c>
      <c r="G71" s="29">
        <f>G42+G61+G67</f>
        <v>276293.24</v>
      </c>
      <c r="H71" s="29">
        <f>H42+H61+H67</f>
        <v>1708428.24</v>
      </c>
      <c r="I71" s="29">
        <f>I42+I61+I67</f>
        <v>1604556</v>
      </c>
      <c r="J71" s="29">
        <f>J42+J61+J67</f>
        <v>103872.23999999999</v>
      </c>
      <c r="K71" s="29">
        <f>K42+K61+K67</f>
        <v>1713319</v>
      </c>
      <c r="L71" s="29">
        <f>L42+L61+L67</f>
        <v>1881740</v>
      </c>
    </row>
    <row r="72" spans="1:12" s="3" customFormat="1" ht="11.25">
      <c r="A72" s="28" t="s">
        <v>125</v>
      </c>
      <c r="B72" s="28">
        <v>58</v>
      </c>
      <c r="C72" s="25">
        <f aca="true" t="shared" si="16" ref="C72:L72">C70-C71</f>
        <v>104637</v>
      </c>
      <c r="D72" s="25">
        <f t="shared" si="16"/>
        <v>89042</v>
      </c>
      <c r="E72" s="25">
        <f t="shared" si="16"/>
        <v>25900</v>
      </c>
      <c r="F72" s="29">
        <f t="shared" si="16"/>
        <v>59102</v>
      </c>
      <c r="G72" s="29">
        <f t="shared" si="16"/>
        <v>11658.76000000001</v>
      </c>
      <c r="H72" s="29">
        <f t="shared" si="16"/>
        <v>70760.76000000001</v>
      </c>
      <c r="I72" s="29">
        <f t="shared" si="16"/>
        <v>280444</v>
      </c>
      <c r="J72" s="29">
        <f t="shared" si="16"/>
        <v>-209683.24</v>
      </c>
      <c r="K72" s="29">
        <f t="shared" si="16"/>
        <v>482484</v>
      </c>
      <c r="L72" s="29">
        <f t="shared" si="16"/>
        <v>370210</v>
      </c>
    </row>
    <row r="73" spans="1:12" ht="11.25">
      <c r="A73" s="18" t="s">
        <v>126</v>
      </c>
      <c r="B73" s="18">
        <v>59</v>
      </c>
      <c r="C73" s="18"/>
      <c r="D73" s="18"/>
      <c r="E73" s="18"/>
      <c r="F73" s="22"/>
      <c r="G73" s="18"/>
      <c r="H73" s="18"/>
      <c r="I73" s="18"/>
      <c r="J73" s="25">
        <f>H73-I73</f>
        <v>0</v>
      </c>
      <c r="K73" s="18"/>
      <c r="L73" s="18"/>
    </row>
    <row r="74" spans="1:12" ht="11.25">
      <c r="A74" s="18" t="s">
        <v>127</v>
      </c>
      <c r="B74" s="18">
        <v>60</v>
      </c>
      <c r="C74" s="18">
        <v>16742</v>
      </c>
      <c r="D74" s="18">
        <f>D75</f>
        <v>14247</v>
      </c>
      <c r="E74" s="18">
        <v>8600</v>
      </c>
      <c r="F74" s="22">
        <f aca="true" t="shared" si="17" ref="F74:L74">F75+F76-F77</f>
        <v>33330</v>
      </c>
      <c r="G74" s="22">
        <f t="shared" si="17"/>
        <v>3998</v>
      </c>
      <c r="H74" s="22">
        <f t="shared" si="17"/>
        <v>37328</v>
      </c>
      <c r="I74" s="22">
        <f t="shared" si="17"/>
        <v>86938</v>
      </c>
      <c r="J74" s="22">
        <f t="shared" si="17"/>
        <v>-49610</v>
      </c>
      <c r="K74" s="22">
        <f t="shared" si="17"/>
        <v>142184</v>
      </c>
      <c r="L74" s="22">
        <f t="shared" si="17"/>
        <v>0</v>
      </c>
    </row>
    <row r="75" spans="1:12" ht="11.25">
      <c r="A75" s="18" t="s">
        <v>128</v>
      </c>
      <c r="B75" s="18">
        <v>61</v>
      </c>
      <c r="C75" s="18">
        <v>16742</v>
      </c>
      <c r="D75" s="18">
        <v>14247</v>
      </c>
      <c r="E75" s="18">
        <v>8600</v>
      </c>
      <c r="F75" s="26">
        <v>33330</v>
      </c>
      <c r="G75" s="18">
        <v>3998</v>
      </c>
      <c r="H75" s="21">
        <f>F75+G75</f>
        <v>37328</v>
      </c>
      <c r="I75" s="18">
        <v>86938</v>
      </c>
      <c r="J75" s="25">
        <f>H75-I75</f>
        <v>-49610</v>
      </c>
      <c r="K75" s="21">
        <v>142184</v>
      </c>
      <c r="L75" s="21"/>
    </row>
    <row r="76" spans="1:12" ht="11.25">
      <c r="A76" s="18" t="s">
        <v>129</v>
      </c>
      <c r="B76" s="18">
        <v>62</v>
      </c>
      <c r="C76" s="18"/>
      <c r="D76" s="18"/>
      <c r="E76" s="18"/>
      <c r="F76" s="26"/>
      <c r="G76" s="18"/>
      <c r="H76" s="18"/>
      <c r="I76" s="18"/>
      <c r="J76" s="25">
        <f>H76-I76</f>
        <v>0</v>
      </c>
      <c r="K76" s="18"/>
      <c r="L76" s="18"/>
    </row>
    <row r="77" spans="1:12" ht="11.25">
      <c r="A77" s="18" t="s">
        <v>130</v>
      </c>
      <c r="B77" s="18">
        <v>63</v>
      </c>
      <c r="C77" s="18"/>
      <c r="D77" s="18"/>
      <c r="E77" s="18"/>
      <c r="F77" s="26"/>
      <c r="G77" s="18"/>
      <c r="H77" s="18"/>
      <c r="I77" s="18"/>
      <c r="J77" s="25">
        <f>H77-I77</f>
        <v>0</v>
      </c>
      <c r="K77" s="18"/>
      <c r="L77" s="18"/>
    </row>
    <row r="78" spans="1:12" ht="11.25">
      <c r="A78" s="18" t="s">
        <v>131</v>
      </c>
      <c r="B78" s="18">
        <v>64</v>
      </c>
      <c r="C78" s="18"/>
      <c r="D78" s="18"/>
      <c r="E78" s="18"/>
      <c r="F78" s="26"/>
      <c r="G78" s="18"/>
      <c r="H78" s="18"/>
      <c r="I78" s="18"/>
      <c r="J78" s="25">
        <f>H78-I78</f>
        <v>0</v>
      </c>
      <c r="K78" s="18"/>
      <c r="L78" s="18">
        <v>24909</v>
      </c>
    </row>
    <row r="79" spans="1:12" ht="11.25">
      <c r="A79" s="28" t="s">
        <v>132</v>
      </c>
      <c r="B79" s="28">
        <v>65</v>
      </c>
      <c r="C79" s="25">
        <f>C72-C75</f>
        <v>87895</v>
      </c>
      <c r="D79" s="25">
        <f>D72-D75</f>
        <v>74795</v>
      </c>
      <c r="E79" s="25">
        <f>E72-E75</f>
        <v>17300</v>
      </c>
      <c r="F79" s="29">
        <f aca="true" t="shared" si="18" ref="F79:L79">F72-F73-F74-F78</f>
        <v>25772</v>
      </c>
      <c r="G79" s="29">
        <f t="shared" si="18"/>
        <v>7660.760000000009</v>
      </c>
      <c r="H79" s="29">
        <f t="shared" si="18"/>
        <v>33432.76000000001</v>
      </c>
      <c r="I79" s="29">
        <f t="shared" si="18"/>
        <v>193506</v>
      </c>
      <c r="J79" s="29">
        <f t="shared" si="18"/>
        <v>-160073.24</v>
      </c>
      <c r="K79" s="29">
        <f t="shared" si="18"/>
        <v>340300</v>
      </c>
      <c r="L79" s="29">
        <f t="shared" si="18"/>
        <v>345301</v>
      </c>
    </row>
    <row r="80" spans="1:12" ht="11.25">
      <c r="A80" s="32" t="s">
        <v>133</v>
      </c>
      <c r="B80" s="32">
        <v>66</v>
      </c>
      <c r="C80" s="18"/>
      <c r="D80" s="18"/>
      <c r="E80" s="18"/>
      <c r="F80" s="22"/>
      <c r="G80" s="18"/>
      <c r="H80" s="18"/>
      <c r="I80" s="18"/>
      <c r="J80" s="25">
        <f>H80-I80</f>
        <v>0</v>
      </c>
      <c r="K80" s="18"/>
      <c r="L80" s="18"/>
    </row>
    <row r="83" spans="1:2" ht="11.25">
      <c r="A83" s="4" t="s">
        <v>134</v>
      </c>
      <c r="B83" s="35"/>
    </row>
    <row r="84" spans="1:2" ht="11.25">
      <c r="A84" s="36" t="s">
        <v>135</v>
      </c>
      <c r="B84" s="35"/>
    </row>
    <row r="85" spans="1:2" ht="11.25">
      <c r="A85" s="36" t="s">
        <v>139</v>
      </c>
      <c r="B85" s="37"/>
    </row>
    <row r="88" ht="11.25">
      <c r="A88" s="36" t="s">
        <v>136</v>
      </c>
    </row>
    <row r="89" ht="11.25">
      <c r="A89" s="36"/>
    </row>
    <row r="90" ht="11.25">
      <c r="A90" s="36" t="s">
        <v>137</v>
      </c>
    </row>
  </sheetData>
  <sheetProtection selectLockedCells="1" selectUnlockedCells="1"/>
  <printOptions/>
  <pageMargins left="0.25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Cosmina</dc:creator>
  <cp:keywords/>
  <dc:description/>
  <cp:lastModifiedBy>Cosmina</cp:lastModifiedBy>
  <dcterms:created xsi:type="dcterms:W3CDTF">2018-03-23T12:10:32Z</dcterms:created>
  <dcterms:modified xsi:type="dcterms:W3CDTF">2018-03-23T12:36:03Z</dcterms:modified>
  <cp:category/>
  <cp:version/>
  <cp:contentType/>
  <cp:contentStatus/>
</cp:coreProperties>
</file>